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\Flexible Packaging\others\gsm calculator dot com\pouch video + excel sheet\"/>
    </mc:Choice>
  </mc:AlternateContent>
  <xr:revisionPtr revIDLastSave="0" documentId="13_ncr:1_{AE5976CF-2854-43C1-9B8F-0F3F1F95E85E}" xr6:coauthVersionLast="45" xr6:coauthVersionMax="45" xr10:uidLastSave="{00000000-0000-0000-0000-000000000000}"/>
  <bookViews>
    <workbookView xWindow="-108" yWindow="-108" windowWidth="23256" windowHeight="12576" xr2:uid="{7410B312-AD20-48E6-B6E4-D5511BE1F8A2}"/>
  </bookViews>
  <sheets>
    <sheet name="costing" sheetId="1" r:id="rId1"/>
    <sheet name="ink, adhesive, film rat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3" i="1"/>
  <c r="C10" i="1" l="1"/>
  <c r="L7" i="1"/>
  <c r="L8" i="1"/>
  <c r="L6" i="1"/>
  <c r="Q15" i="1"/>
  <c r="L16" i="1" s="1"/>
  <c r="P11" i="1"/>
  <c r="P10" i="1"/>
  <c r="P8" i="1"/>
  <c r="P7" i="1"/>
  <c r="P6" i="1"/>
  <c r="D20" i="2"/>
  <c r="D19" i="2"/>
  <c r="M8" i="1" l="1"/>
  <c r="M7" i="1"/>
  <c r="M6" i="1"/>
  <c r="K13" i="1"/>
  <c r="M13" i="1" l="1"/>
  <c r="A20" i="1"/>
  <c r="H10" i="1" l="1"/>
  <c r="E4" i="1"/>
  <c r="E5" i="1"/>
  <c r="E6" i="1"/>
  <c r="E7" i="1" l="1"/>
  <c r="N3" i="1" s="1"/>
  <c r="N4" i="1" s="1"/>
  <c r="N6" i="1" s="1"/>
  <c r="E13" i="1"/>
  <c r="G13" i="1" s="1"/>
  <c r="R6" i="1" s="1"/>
  <c r="R7" i="1" s="1"/>
  <c r="R8" i="1" s="1"/>
  <c r="C15" i="1"/>
  <c r="C20" i="1" s="1"/>
  <c r="Q17" i="1" s="1"/>
  <c r="O6" i="1" l="1"/>
  <c r="Q6" i="1" s="1"/>
  <c r="S6" i="1"/>
  <c r="U6" i="1" s="1"/>
  <c r="N7" i="1"/>
  <c r="N8" i="1"/>
  <c r="N10" i="1"/>
  <c r="O10" i="1" s="1"/>
  <c r="Q10" i="1" s="1"/>
  <c r="N11" i="1"/>
  <c r="O11" i="1" s="1"/>
  <c r="Q11" i="1" s="1"/>
  <c r="C21" i="1"/>
  <c r="O8" i="1" l="1"/>
  <c r="Q8" i="1" s="1"/>
  <c r="S8" i="1"/>
  <c r="U8" i="1" s="1"/>
  <c r="N13" i="1"/>
  <c r="O7" i="1"/>
  <c r="S7" i="1"/>
  <c r="U7" i="1" s="1"/>
  <c r="Q7" i="1" l="1"/>
  <c r="Q13" i="1" s="1"/>
  <c r="O13" i="1"/>
  <c r="Q16" i="1" l="1"/>
  <c r="Q18" i="1"/>
  <c r="Q21" i="1" l="1"/>
  <c r="Q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Ej</author>
  </authors>
  <commentList>
    <comment ref="E5" authorId="0" shapeId="0" xr:uid="{4195ECFC-C8FC-4B7B-AE71-40C4A08B9DB1}">
      <text>
        <r>
          <rPr>
            <b/>
            <sz val="9"/>
            <color indexed="81"/>
            <rFont val="Tahoma"/>
            <family val="2"/>
          </rPr>
          <t>Ej:</t>
        </r>
        <r>
          <rPr>
            <sz val="9"/>
            <color indexed="81"/>
            <rFont val="Tahoma"/>
            <family val="2"/>
          </rPr>
          <t xml:space="preserve">
Its double the size of Length/Height.</t>
        </r>
      </text>
    </comment>
    <comment ref="E6" authorId="0" shapeId="0" xr:uid="{66183858-7CA0-4C70-BA10-69CE3DEA115E}">
      <text>
        <r>
          <rPr>
            <b/>
            <sz val="9"/>
            <color indexed="81"/>
            <rFont val="Tahoma"/>
            <family val="2"/>
          </rPr>
          <t>Ej:</t>
        </r>
        <r>
          <rPr>
            <sz val="9"/>
            <color indexed="81"/>
            <rFont val="Tahoma"/>
            <family val="2"/>
          </rPr>
          <t xml:space="preserve">
2.5 mm trim both side, while pouching.</t>
        </r>
      </text>
    </comment>
    <comment ref="O10" authorId="0" shapeId="0" xr:uid="{CAF6569A-6514-49D7-BE61-46D712EF8C6B}">
      <text>
        <r>
          <rPr>
            <b/>
            <sz val="9"/>
            <color indexed="81"/>
            <rFont val="Tahoma"/>
            <family val="2"/>
          </rPr>
          <t>Ej:</t>
        </r>
        <r>
          <rPr>
            <sz val="9"/>
            <color indexed="81"/>
            <rFont val="Tahoma"/>
            <family val="2"/>
          </rPr>
          <t xml:space="preserve">
Based on ink solid content. Average 25%.</t>
        </r>
      </text>
    </comment>
    <comment ref="O11" authorId="0" shapeId="0" xr:uid="{DE24B467-ABC2-4263-BBE3-B74295C8BC34}">
      <text>
        <r>
          <rPr>
            <b/>
            <sz val="9"/>
            <color indexed="81"/>
            <rFont val="Tahoma"/>
            <family val="2"/>
          </rPr>
          <t>Ej:</t>
        </r>
        <r>
          <rPr>
            <sz val="9"/>
            <color indexed="81"/>
            <rFont val="Tahoma"/>
            <family val="2"/>
          </rPr>
          <t xml:space="preserve">
Based on solvent solid content. 100%</t>
        </r>
      </text>
    </comment>
    <comment ref="H13" authorId="0" shapeId="0" xr:uid="{83516A28-0D7C-48FE-BC9D-D051294076D5}">
      <text>
        <r>
          <rPr>
            <b/>
            <sz val="9"/>
            <color indexed="81"/>
            <rFont val="Tahoma"/>
            <family val="2"/>
          </rPr>
          <t>Ej:</t>
        </r>
        <r>
          <rPr>
            <sz val="9"/>
            <color indexed="81"/>
            <rFont val="Tahoma"/>
            <family val="2"/>
          </rPr>
          <t xml:space="preserve">
Need to do auto Calculation based on print area +100 mm</t>
        </r>
      </text>
    </comment>
  </commentList>
</comments>
</file>

<file path=xl/sharedStrings.xml><?xml version="1.0" encoding="utf-8"?>
<sst xmlns="http://schemas.openxmlformats.org/spreadsheetml/2006/main" count="74" uniqueCount="67">
  <si>
    <t>www.gsmcalculator.com</t>
  </si>
  <si>
    <t>POUCH WIDTH (mm)→</t>
  </si>
  <si>
    <t>POUCH HEIGHT (mm)→</t>
  </si>
  <si>
    <t>x 2 →</t>
  </si>
  <si>
    <t>x 1 →</t>
  </si>
  <si>
    <t>↓ POUCH OPEN SIZE (mm) ↓</t>
  </si>
  <si>
    <t>sq m² →</t>
  </si>
  <si>
    <t>Cylinder Circumfrance →</t>
  </si>
  <si>
    <t>Cylinder Face Length →</t>
  </si>
  <si>
    <t>Across</t>
  </si>
  <si>
    <t>Around</t>
  </si>
  <si>
    <t>Circum.</t>
  </si>
  <si>
    <t>Face Length</t>
  </si>
  <si>
    <t>↓ Print Area ↓</t>
  </si>
  <si>
    <t>Pouch Trim (mm)→</t>
  </si>
  <si>
    <t>Printing Mark Trim</t>
  </si>
  <si>
    <t>Film Size</t>
  </si>
  <si>
    <t>Cylinder rate mm²→</t>
  </si>
  <si>
    <t>Number of Colors →</t>
  </si>
  <si>
    <t>Each Cylinder cost →</t>
  </si>
  <si>
    <t>Width/Repeat</t>
  </si>
  <si>
    <t>Height/Length</t>
  </si>
  <si>
    <t>LAYER</t>
  </si>
  <si>
    <t>µ</t>
  </si>
  <si>
    <t>DENSITY</t>
  </si>
  <si>
    <t>GSM</t>
  </si>
  <si>
    <t>PET</t>
  </si>
  <si>
    <t>INK</t>
  </si>
  <si>
    <t>ADHESIVE</t>
  </si>
  <si>
    <t>No of Pouch (pcs) →</t>
  </si>
  <si>
    <t>one Pouch weight (grams) →</t>
  </si>
  <si>
    <t>Final output (kg) →</t>
  </si>
  <si>
    <t>kg</t>
  </si>
  <si>
    <t>rate/kilo</t>
  </si>
  <si>
    <t>amount</t>
  </si>
  <si>
    <t>Film</t>
  </si>
  <si>
    <t>Density</t>
  </si>
  <si>
    <t>Pet</t>
  </si>
  <si>
    <t>MetPet</t>
  </si>
  <si>
    <t>MattPet</t>
  </si>
  <si>
    <t>BoPP</t>
  </si>
  <si>
    <t>MetBoPP</t>
  </si>
  <si>
    <t>MattBoPP</t>
  </si>
  <si>
    <t>PearlizedBoPP</t>
  </si>
  <si>
    <t>Foil</t>
  </si>
  <si>
    <t>LD</t>
  </si>
  <si>
    <t>AloxPet</t>
  </si>
  <si>
    <t>CPP</t>
  </si>
  <si>
    <t>MetCPP</t>
  </si>
  <si>
    <t>Nylon</t>
  </si>
  <si>
    <t>PVC</t>
  </si>
  <si>
    <t>BoPA</t>
  </si>
  <si>
    <t>Rate</t>
  </si>
  <si>
    <t>actual kg</t>
  </si>
  <si>
    <t>Solid Content %</t>
  </si>
  <si>
    <t>Number of Pouch (pcs) →</t>
  </si>
  <si>
    <t>Cost Price Per pcs of Pouch →</t>
  </si>
  <si>
    <t>Cyilnder Cost for the job →</t>
  </si>
  <si>
    <t>Total cost of 50000 pouch →</t>
  </si>
  <si>
    <t>other if any additional cost →</t>
  </si>
  <si>
    <t>Film Width</t>
  </si>
  <si>
    <t>Meter</t>
  </si>
  <si>
    <t>Machine Speed</t>
  </si>
  <si>
    <t>Hours</t>
  </si>
  <si>
    <t>Process (Printing, Lamination, Slitting, Pouching) Waste 10% →</t>
  </si>
  <si>
    <t>RAW MATERIAL CALCULATION FOR 3 PLY POUCH JOB (CYLINDER, FILM, INK &amp; ADHESIVE)</t>
  </si>
  <si>
    <t>← if customer paid/supplied cylinders, put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</si>
</sst>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₹-4009]\ #,##0.00"/>
    <numFmt numFmtId="165" formatCode="0.000"/>
    <numFmt numFmtId="166" formatCode="[$INR]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ahoma"/>
      <family val="2"/>
    </font>
    <font>
      <sz val="28"/>
      <color theme="1"/>
      <name val="Calibri"/>
      <family val="2"/>
      <scheme val="minor"/>
    </font>
    <font>
      <b/>
      <sz val="18"/>
      <color theme="1" tint="4.9989318521683403E-2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 shrinkToFit="1"/>
    </xf>
    <xf numFmtId="0" fontId="6" fillId="3" borderId="1" xfId="0" quotePrefix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6866-60FF-4F75-A2EF-74EDD2F43787}">
  <dimension ref="A1:V27"/>
  <sheetViews>
    <sheetView tabSelected="1" zoomScaleNormal="100" workbookViewId="0">
      <selection activeCell="I21" sqref="I21"/>
    </sheetView>
  </sheetViews>
  <sheetFormatPr defaultRowHeight="14.4" x14ac:dyDescent="0.3"/>
  <cols>
    <col min="1" max="2" width="8.88671875" style="1"/>
    <col min="3" max="3" width="9.44140625" style="1" bestFit="1" customWidth="1"/>
    <col min="4" max="9" width="8.88671875" style="1"/>
    <col min="10" max="10" width="9.21875" style="1" bestFit="1" customWidth="1"/>
    <col min="11" max="11" width="6.33203125" style="1" customWidth="1"/>
    <col min="12" max="12" width="8" style="1" bestFit="1" customWidth="1"/>
    <col min="13" max="13" width="5" style="1" bestFit="1" customWidth="1"/>
    <col min="14" max="16" width="10.77734375" style="1" customWidth="1"/>
    <col min="17" max="17" width="11.5546875" style="1" bestFit="1" customWidth="1"/>
    <col min="18" max="18" width="10.21875" style="1" bestFit="1" customWidth="1"/>
    <col min="19" max="19" width="8.88671875" style="1"/>
    <col min="20" max="20" width="14" style="1" bestFit="1" customWidth="1"/>
    <col min="21" max="16384" width="8.88671875" style="1"/>
  </cols>
  <sheetData>
    <row r="1" spans="1:21" ht="36.6" x14ac:dyDescent="0.3">
      <c r="A1" s="30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x14ac:dyDescent="0.3">
      <c r="J2" s="35" t="s">
        <v>29</v>
      </c>
      <c r="K2" s="35"/>
      <c r="L2" s="35"/>
      <c r="M2" s="35"/>
      <c r="N2" s="10">
        <v>50000</v>
      </c>
      <c r="O2" s="10"/>
    </row>
    <row r="3" spans="1:21" x14ac:dyDescent="0.3">
      <c r="D3" s="48" t="s">
        <v>5</v>
      </c>
      <c r="E3" s="48"/>
      <c r="F3" s="48"/>
      <c r="J3" s="35" t="s">
        <v>30</v>
      </c>
      <c r="K3" s="35"/>
      <c r="L3" s="35"/>
      <c r="M3" s="35"/>
      <c r="N3" s="9">
        <f>E7*M13/1000000</f>
        <v>12.192270000000001</v>
      </c>
      <c r="O3" s="9"/>
    </row>
    <row r="4" spans="1:21" x14ac:dyDescent="0.3">
      <c r="A4" s="44" t="s">
        <v>1</v>
      </c>
      <c r="B4" s="44"/>
      <c r="C4" s="1">
        <v>200</v>
      </c>
      <c r="D4" s="2" t="s">
        <v>4</v>
      </c>
      <c r="E4" s="49">
        <f>C4</f>
        <v>200</v>
      </c>
      <c r="F4" s="50"/>
      <c r="J4" s="36" t="s">
        <v>31</v>
      </c>
      <c r="K4" s="36"/>
      <c r="L4" s="36"/>
      <c r="M4" s="36"/>
      <c r="N4" s="9">
        <f>N3*N2/1000</f>
        <v>609.61350000000004</v>
      </c>
      <c r="O4" s="9"/>
    </row>
    <row r="5" spans="1:21" x14ac:dyDescent="0.3">
      <c r="A5" s="44" t="s">
        <v>2</v>
      </c>
      <c r="B5" s="44"/>
      <c r="C5" s="1">
        <v>350</v>
      </c>
      <c r="D5" s="2" t="s">
        <v>3</v>
      </c>
      <c r="E5" s="49">
        <f>C5*2</f>
        <v>700</v>
      </c>
      <c r="F5" s="50"/>
      <c r="J5" s="22" t="s">
        <v>22</v>
      </c>
      <c r="K5" s="22" t="s">
        <v>23</v>
      </c>
      <c r="L5" s="22" t="s">
        <v>24</v>
      </c>
      <c r="M5" s="22" t="s">
        <v>25</v>
      </c>
      <c r="N5" s="22" t="s">
        <v>32</v>
      </c>
      <c r="O5" s="22" t="s">
        <v>53</v>
      </c>
      <c r="P5" s="22" t="s">
        <v>33</v>
      </c>
      <c r="Q5" s="22" t="s">
        <v>34</v>
      </c>
      <c r="R5" s="22" t="s">
        <v>60</v>
      </c>
      <c r="S5" s="22" t="s">
        <v>61</v>
      </c>
      <c r="T5" s="22" t="s">
        <v>62</v>
      </c>
      <c r="U5" s="22" t="s">
        <v>63</v>
      </c>
    </row>
    <row r="6" spans="1:21" x14ac:dyDescent="0.3">
      <c r="A6" s="44" t="s">
        <v>14</v>
      </c>
      <c r="B6" s="44"/>
      <c r="C6" s="1">
        <v>2.5</v>
      </c>
      <c r="D6" s="2" t="s">
        <v>3</v>
      </c>
      <c r="E6" s="49">
        <f>C6*2</f>
        <v>5</v>
      </c>
      <c r="F6" s="50"/>
      <c r="J6" s="21" t="s">
        <v>26</v>
      </c>
      <c r="K6" s="2">
        <v>12</v>
      </c>
      <c r="L6" s="2">
        <f>SUMIFS('ink, adhesive, film rates'!C3:C20,'ink, adhesive, film rates'!B3:B20,costing!J6)</f>
        <v>1.4</v>
      </c>
      <c r="M6" s="2">
        <f>K6*L6</f>
        <v>16.799999999999997</v>
      </c>
      <c r="N6" s="2">
        <f>N4*M6/M13</f>
        <v>118.44</v>
      </c>
      <c r="O6" s="2">
        <f>N6</f>
        <v>118.44</v>
      </c>
      <c r="P6" s="17">
        <f>SUMIFS('ink, adhesive, film rates'!D3:D20,'ink, adhesive, film rates'!B3:B20,costing!J6)</f>
        <v>108</v>
      </c>
      <c r="Q6" s="17">
        <f>P6*O6</f>
        <v>12791.52</v>
      </c>
      <c r="R6" s="2">
        <f>G13</f>
        <v>720</v>
      </c>
      <c r="S6" s="19">
        <f>N6*1000000/(R6*M6)</f>
        <v>9791.6666666666679</v>
      </c>
      <c r="T6" s="2">
        <v>150</v>
      </c>
      <c r="U6" s="19">
        <f>S6/T6/60</f>
        <v>1.087962962962963</v>
      </c>
    </row>
    <row r="7" spans="1:21" x14ac:dyDescent="0.3">
      <c r="D7" s="2" t="s">
        <v>6</v>
      </c>
      <c r="E7" s="42">
        <f>E4*(E5+E6)</f>
        <v>141000</v>
      </c>
      <c r="F7" s="43"/>
      <c r="J7" s="21" t="s">
        <v>44</v>
      </c>
      <c r="K7" s="2">
        <v>7</v>
      </c>
      <c r="L7" s="2">
        <f>SUMIFS('ink, adhesive, film rates'!C3:C20,'ink, adhesive, film rates'!B3:B20,costing!J7)</f>
        <v>2.71</v>
      </c>
      <c r="M7" s="2">
        <f>K7*L7</f>
        <v>18.97</v>
      </c>
      <c r="N7" s="2">
        <f>M7*N4/M13</f>
        <v>133.73849999999999</v>
      </c>
      <c r="O7" s="2">
        <f>N7</f>
        <v>133.73849999999999</v>
      </c>
      <c r="P7" s="17">
        <f>SUMIFS('ink, adhesive, film rates'!D4:D21,'ink, adhesive, film rates'!B4:B21,costing!J7)</f>
        <v>248</v>
      </c>
      <c r="Q7" s="17">
        <f>P7*O7</f>
        <v>33167.147999999994</v>
      </c>
      <c r="R7" s="2">
        <f>R6</f>
        <v>720</v>
      </c>
      <c r="S7" s="19">
        <f>N7*1000000/(R7*M7)</f>
        <v>9791.6666666666661</v>
      </c>
      <c r="T7" s="2">
        <v>80</v>
      </c>
      <c r="U7" s="19">
        <f>S7/T7/60</f>
        <v>2.0399305555555554</v>
      </c>
    </row>
    <row r="8" spans="1:21" x14ac:dyDescent="0.3">
      <c r="J8" s="21" t="s">
        <v>45</v>
      </c>
      <c r="K8" s="2">
        <v>50</v>
      </c>
      <c r="L8" s="2">
        <f>SUMIFS('ink, adhesive, film rates'!C3:C20,'ink, adhesive, film rates'!B3:B20,costing!J8)</f>
        <v>0.91</v>
      </c>
      <c r="M8" s="2">
        <f>K8*L8</f>
        <v>45.5</v>
      </c>
      <c r="N8" s="2">
        <f>M8*N4/M13</f>
        <v>320.77500000000003</v>
      </c>
      <c r="O8" s="2">
        <f>N8</f>
        <v>320.77500000000003</v>
      </c>
      <c r="P8" s="17">
        <f>SUMIFS('ink, adhesive, film rates'!D5:D22,'ink, adhesive, film rates'!B5:B22,costing!J8)</f>
        <v>92</v>
      </c>
      <c r="Q8" s="17">
        <f>P8*O8</f>
        <v>29511.300000000003</v>
      </c>
      <c r="R8" s="2">
        <f>R7</f>
        <v>720</v>
      </c>
      <c r="S8" s="19">
        <f>N8*1000000/(R8*M8)</f>
        <v>9791.6666666666679</v>
      </c>
      <c r="T8" s="2">
        <v>150</v>
      </c>
      <c r="U8" s="19">
        <f>S8/T8/60</f>
        <v>1.087962962962963</v>
      </c>
    </row>
    <row r="9" spans="1:21" x14ac:dyDescent="0.3">
      <c r="A9" s="2"/>
      <c r="B9" s="2"/>
      <c r="C9" s="27" t="s">
        <v>20</v>
      </c>
      <c r="D9" s="2" t="s">
        <v>10</v>
      </c>
      <c r="E9" s="2"/>
      <c r="F9" s="2"/>
      <c r="G9" s="2"/>
      <c r="H9" s="27" t="s">
        <v>11</v>
      </c>
      <c r="J9" s="21"/>
      <c r="K9" s="2"/>
      <c r="L9" s="2"/>
      <c r="M9" s="2"/>
      <c r="N9" s="2"/>
      <c r="O9" s="2"/>
      <c r="P9" s="17"/>
      <c r="Q9" s="17"/>
      <c r="R9" s="2"/>
      <c r="S9" s="19"/>
      <c r="T9" s="2"/>
      <c r="U9" s="2"/>
    </row>
    <row r="10" spans="1:21" x14ac:dyDescent="0.3">
      <c r="A10" s="45" t="s">
        <v>7</v>
      </c>
      <c r="B10" s="45"/>
      <c r="C10" s="2">
        <f>C4</f>
        <v>200</v>
      </c>
      <c r="D10" s="2">
        <v>3</v>
      </c>
      <c r="E10" s="2"/>
      <c r="F10" s="2"/>
      <c r="G10" s="2"/>
      <c r="H10" s="2">
        <f>C10*D10</f>
        <v>600</v>
      </c>
      <c r="J10" s="21" t="s">
        <v>26</v>
      </c>
      <c r="K10" s="2">
        <v>1</v>
      </c>
      <c r="L10" s="2"/>
      <c r="M10" s="2">
        <v>1.2</v>
      </c>
      <c r="N10" s="2">
        <f>N4*M10/M13</f>
        <v>8.4600000000000009</v>
      </c>
      <c r="O10" s="26">
        <f>(N10/'ink, adhesive, film rates'!E19)*100</f>
        <v>21.150000000000002</v>
      </c>
      <c r="P10" s="17">
        <f>SUMIFS('ink, adhesive, film rates'!D7:D24,'ink, adhesive, film rates'!B7:B24,costing!J10)</f>
        <v>0</v>
      </c>
      <c r="Q10" s="17">
        <f>P10*O10</f>
        <v>0</v>
      </c>
      <c r="R10" s="2"/>
      <c r="S10" s="19"/>
      <c r="T10" s="2"/>
      <c r="U10" s="2"/>
    </row>
    <row r="11" spans="1:21" x14ac:dyDescent="0.3">
      <c r="A11" s="2"/>
      <c r="B11" s="2"/>
      <c r="C11" s="2"/>
      <c r="D11" s="2"/>
      <c r="E11" s="2"/>
      <c r="F11" s="2"/>
      <c r="G11" s="2"/>
      <c r="H11" s="2"/>
      <c r="J11" s="21" t="s">
        <v>26</v>
      </c>
      <c r="K11" s="2">
        <v>1</v>
      </c>
      <c r="L11" s="2"/>
      <c r="M11" s="2">
        <v>4</v>
      </c>
      <c r="N11" s="2">
        <f>N4*M11/M13</f>
        <v>28.200000000000003</v>
      </c>
      <c r="O11" s="26">
        <f>N11</f>
        <v>28.200000000000003</v>
      </c>
      <c r="P11" s="17">
        <f>SUMIFS('ink, adhesive, film rates'!D8:D25,'ink, adhesive, film rates'!B8:B25,costing!J11)</f>
        <v>0</v>
      </c>
      <c r="Q11" s="17">
        <f>P11*O11</f>
        <v>0</v>
      </c>
      <c r="R11" s="2"/>
      <c r="S11" s="19"/>
      <c r="T11" s="2"/>
      <c r="U11" s="2"/>
    </row>
    <row r="12" spans="1:21" x14ac:dyDescent="0.3">
      <c r="A12" s="2"/>
      <c r="B12" s="2"/>
      <c r="C12" s="27" t="s">
        <v>21</v>
      </c>
      <c r="D12" s="2" t="s">
        <v>9</v>
      </c>
      <c r="E12" s="27" t="s">
        <v>13</v>
      </c>
      <c r="F12" s="27" t="s">
        <v>15</v>
      </c>
      <c r="G12" s="27" t="s">
        <v>16</v>
      </c>
      <c r="H12" s="27" t="s">
        <v>12</v>
      </c>
      <c r="J12" s="21"/>
      <c r="K12" s="2"/>
      <c r="L12" s="2"/>
      <c r="M12" s="2"/>
      <c r="N12" s="2"/>
      <c r="O12" s="2"/>
      <c r="P12" s="17"/>
      <c r="Q12" s="17"/>
      <c r="R12" s="2"/>
      <c r="S12" s="19"/>
      <c r="T12" s="2"/>
      <c r="U12" s="2"/>
    </row>
    <row r="13" spans="1:21" x14ac:dyDescent="0.3">
      <c r="A13" s="45" t="s">
        <v>8</v>
      </c>
      <c r="B13" s="45"/>
      <c r="C13" s="2">
        <f>E5+E6</f>
        <v>705</v>
      </c>
      <c r="D13" s="2">
        <v>1</v>
      </c>
      <c r="E13" s="2">
        <f>C13*D13</f>
        <v>705</v>
      </c>
      <c r="F13" s="2">
        <v>15</v>
      </c>
      <c r="G13" s="2">
        <f>E13+F13</f>
        <v>720</v>
      </c>
      <c r="H13" s="2">
        <v>800</v>
      </c>
      <c r="J13" s="23"/>
      <c r="K13" s="23">
        <f>SUM(K6:K12)</f>
        <v>71</v>
      </c>
      <c r="L13" s="23"/>
      <c r="M13" s="23">
        <f>SUM(M6:M12)</f>
        <v>86.47</v>
      </c>
      <c r="N13" s="23">
        <f>SUM(N6:N12)</f>
        <v>609.61350000000016</v>
      </c>
      <c r="O13" s="23">
        <f>SUM(O6:O12)</f>
        <v>622.3035000000001</v>
      </c>
      <c r="P13" s="24"/>
      <c r="Q13" s="24">
        <f>SUM(Q6:Q12)</f>
        <v>75469.967999999993</v>
      </c>
      <c r="R13" s="23"/>
      <c r="S13" s="25"/>
      <c r="T13" s="23"/>
      <c r="U13" s="23"/>
    </row>
    <row r="15" spans="1:21" x14ac:dyDescent="0.3">
      <c r="A15" s="38" t="s">
        <v>7</v>
      </c>
      <c r="B15" s="39"/>
      <c r="C15" s="3">
        <f>H10</f>
        <v>600</v>
      </c>
      <c r="L15" s="28" t="s">
        <v>55</v>
      </c>
      <c r="M15" s="28"/>
      <c r="N15" s="28"/>
      <c r="O15" s="28"/>
      <c r="P15" s="28"/>
      <c r="Q15" s="18">
        <f>N2</f>
        <v>50000</v>
      </c>
    </row>
    <row r="16" spans="1:21" x14ac:dyDescent="0.3">
      <c r="A16" s="40" t="s">
        <v>8</v>
      </c>
      <c r="B16" s="41"/>
      <c r="C16" s="4">
        <f>H13</f>
        <v>800</v>
      </c>
      <c r="L16" s="28" t="str">
        <f>"Film + Ink + Adhesive cost of "&amp;Q15&amp;" pouch →"</f>
        <v>Film + Ink + Adhesive cost of 50000 pouch →</v>
      </c>
      <c r="M16" s="28"/>
      <c r="N16" s="28"/>
      <c r="O16" s="28"/>
      <c r="P16" s="28"/>
      <c r="Q16" s="17">
        <f>Q13</f>
        <v>75469.967999999993</v>
      </c>
    </row>
    <row r="17" spans="1:22" x14ac:dyDescent="0.3">
      <c r="A17" s="40" t="s">
        <v>18</v>
      </c>
      <c r="B17" s="41"/>
      <c r="C17" s="4">
        <v>6</v>
      </c>
      <c r="L17" s="28" t="s">
        <v>57</v>
      </c>
      <c r="M17" s="28"/>
      <c r="N17" s="28"/>
      <c r="O17" s="28"/>
      <c r="P17" s="28"/>
      <c r="Q17" s="17">
        <f>C20</f>
        <v>5184</v>
      </c>
      <c r="R17" s="31" t="s">
        <v>66</v>
      </c>
      <c r="S17" s="32"/>
      <c r="T17" s="32"/>
      <c r="U17" s="32"/>
    </row>
    <row r="18" spans="1:22" x14ac:dyDescent="0.3">
      <c r="A18" s="5"/>
      <c r="B18" s="6"/>
      <c r="C18" s="4"/>
      <c r="L18" s="37" t="s">
        <v>64</v>
      </c>
      <c r="M18" s="37"/>
      <c r="N18" s="37"/>
      <c r="O18" s="37"/>
      <c r="P18" s="37"/>
      <c r="Q18" s="17">
        <f>Q13*10%</f>
        <v>7546.9967999999999</v>
      </c>
    </row>
    <row r="19" spans="1:22" x14ac:dyDescent="0.3">
      <c r="A19" s="40" t="s">
        <v>17</v>
      </c>
      <c r="B19" s="41"/>
      <c r="C19" s="7">
        <v>0.18</v>
      </c>
      <c r="L19" s="28" t="s">
        <v>59</v>
      </c>
      <c r="M19" s="28"/>
      <c r="N19" s="28"/>
      <c r="O19" s="28"/>
      <c r="P19" s="28"/>
      <c r="Q19" s="17">
        <v>0</v>
      </c>
    </row>
    <row r="20" spans="1:22" x14ac:dyDescent="0.3">
      <c r="A20" s="40" t="str">
        <f>"Cylinder cost for "&amp;C17&amp;" colors →"</f>
        <v>Cylinder cost for 6 colors →</v>
      </c>
      <c r="B20" s="41"/>
      <c r="C20" s="7">
        <f>C15*C16*C19*C17/100</f>
        <v>5184</v>
      </c>
    </row>
    <row r="21" spans="1:22" x14ac:dyDescent="0.3">
      <c r="A21" s="33" t="s">
        <v>19</v>
      </c>
      <c r="B21" s="34"/>
      <c r="C21" s="8">
        <f>C20/C17</f>
        <v>864</v>
      </c>
      <c r="L21" s="29" t="s">
        <v>58</v>
      </c>
      <c r="M21" s="29"/>
      <c r="N21" s="29"/>
      <c r="O21" s="29"/>
      <c r="P21" s="29"/>
      <c r="Q21" s="20">
        <f>Q16+Q17+Q18+Q19</f>
        <v>88200.964799999987</v>
      </c>
    </row>
    <row r="22" spans="1:22" x14ac:dyDescent="0.3">
      <c r="L22" s="29" t="s">
        <v>56</v>
      </c>
      <c r="M22" s="29"/>
      <c r="N22" s="29"/>
      <c r="O22" s="29"/>
      <c r="P22" s="29"/>
      <c r="Q22" s="20">
        <f>Q21/Q15</f>
        <v>1.7640192959999998</v>
      </c>
    </row>
    <row r="26" spans="1:22" x14ac:dyDescent="0.3">
      <c r="R26" s="46" t="s">
        <v>0</v>
      </c>
      <c r="S26" s="46"/>
      <c r="T26" s="47"/>
      <c r="U26" s="47"/>
      <c r="V26" s="47"/>
    </row>
    <row r="27" spans="1:22" x14ac:dyDescent="0.3">
      <c r="R27" s="47"/>
      <c r="S27" s="47"/>
      <c r="T27" s="47"/>
      <c r="U27" s="47"/>
      <c r="V27" s="47"/>
    </row>
  </sheetData>
  <mergeCells count="29">
    <mergeCell ref="A13:B13"/>
    <mergeCell ref="R26:V27"/>
    <mergeCell ref="D3:F3"/>
    <mergeCell ref="E4:F4"/>
    <mergeCell ref="E5:F5"/>
    <mergeCell ref="E6:F6"/>
    <mergeCell ref="L22:P22"/>
    <mergeCell ref="L17:P17"/>
    <mergeCell ref="E7:F7"/>
    <mergeCell ref="A6:B6"/>
    <mergeCell ref="A5:B5"/>
    <mergeCell ref="A4:B4"/>
    <mergeCell ref="A10:B10"/>
    <mergeCell ref="L19:P19"/>
    <mergeCell ref="L21:P21"/>
    <mergeCell ref="A1:U1"/>
    <mergeCell ref="R17:U17"/>
    <mergeCell ref="A21:B21"/>
    <mergeCell ref="J2:M2"/>
    <mergeCell ref="J3:M3"/>
    <mergeCell ref="J4:M4"/>
    <mergeCell ref="L15:P15"/>
    <mergeCell ref="L16:P16"/>
    <mergeCell ref="L18:P18"/>
    <mergeCell ref="A15:B15"/>
    <mergeCell ref="A16:B16"/>
    <mergeCell ref="A19:B19"/>
    <mergeCell ref="A17:B17"/>
    <mergeCell ref="A20:B20"/>
  </mergeCells>
  <pageMargins left="0.7" right="0.7" top="0.75" bottom="0.75" header="0.3" footer="0.3"/>
  <pageSetup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032970-C650-474A-AF03-A67CC2BDA77E}">
          <x14:formula1>
            <xm:f>'ink, adhesive, film rates'!$B$3:$B$20</xm:f>
          </x14:formula1>
          <xm:sqref>J6:J8 J10:J11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50E4-90B3-42C4-8C16-5C359BF1964F}">
  <dimension ref="B2:E20"/>
  <sheetViews>
    <sheetView workbookViewId="0">
      <selection sqref="A1:XFD1048576"/>
    </sheetView>
  </sheetViews>
  <sheetFormatPr defaultRowHeight="14.4" x14ac:dyDescent="0.3"/>
  <cols>
    <col min="1" max="1" width="8.88671875" style="1"/>
    <col min="2" max="5" width="15.77734375" style="1" customWidth="1"/>
    <col min="6" max="16384" width="8.88671875" style="1"/>
  </cols>
  <sheetData>
    <row r="2" spans="2:5" x14ac:dyDescent="0.3">
      <c r="B2" s="11" t="s">
        <v>35</v>
      </c>
      <c r="C2" s="11" t="s">
        <v>36</v>
      </c>
      <c r="D2" s="11" t="s">
        <v>52</v>
      </c>
      <c r="E2" s="11" t="s">
        <v>54</v>
      </c>
    </row>
    <row r="3" spans="2:5" x14ac:dyDescent="0.3">
      <c r="B3" s="12" t="s">
        <v>37</v>
      </c>
      <c r="C3" s="13">
        <v>1.4</v>
      </c>
      <c r="D3" s="14">
        <v>108</v>
      </c>
      <c r="E3" s="16"/>
    </row>
    <row r="4" spans="2:5" x14ac:dyDescent="0.3">
      <c r="B4" s="12" t="s">
        <v>38</v>
      </c>
      <c r="C4" s="13">
        <v>1.4</v>
      </c>
      <c r="D4" s="14"/>
      <c r="E4" s="16"/>
    </row>
    <row r="5" spans="2:5" x14ac:dyDescent="0.3">
      <c r="B5" s="12" t="s">
        <v>39</v>
      </c>
      <c r="C5" s="13">
        <v>1.4</v>
      </c>
      <c r="D5" s="14"/>
      <c r="E5" s="16"/>
    </row>
    <row r="6" spans="2:5" x14ac:dyDescent="0.3">
      <c r="B6" s="12" t="s">
        <v>40</v>
      </c>
      <c r="C6" s="13">
        <v>0.90500000000000003</v>
      </c>
      <c r="D6" s="14">
        <v>90</v>
      </c>
      <c r="E6" s="16"/>
    </row>
    <row r="7" spans="2:5" x14ac:dyDescent="0.3">
      <c r="B7" s="12" t="s">
        <v>41</v>
      </c>
      <c r="C7" s="13">
        <v>0.90500000000000003</v>
      </c>
      <c r="D7" s="14"/>
      <c r="E7" s="16"/>
    </row>
    <row r="8" spans="2:5" x14ac:dyDescent="0.3">
      <c r="B8" s="12" t="s">
        <v>42</v>
      </c>
      <c r="C8" s="13">
        <v>0.88</v>
      </c>
      <c r="D8" s="14"/>
      <c r="E8" s="16"/>
    </row>
    <row r="9" spans="2:5" x14ac:dyDescent="0.3">
      <c r="B9" s="12" t="s">
        <v>43</v>
      </c>
      <c r="C9" s="13">
        <v>0.69</v>
      </c>
      <c r="D9" s="14"/>
      <c r="E9" s="16"/>
    </row>
    <row r="10" spans="2:5" x14ac:dyDescent="0.3">
      <c r="B10" s="12" t="s">
        <v>44</v>
      </c>
      <c r="C10" s="13">
        <v>2.71</v>
      </c>
      <c r="D10" s="14">
        <v>248</v>
      </c>
      <c r="E10" s="16"/>
    </row>
    <row r="11" spans="2:5" x14ac:dyDescent="0.3">
      <c r="B11" s="12" t="s">
        <v>45</v>
      </c>
      <c r="C11" s="13">
        <v>0.91</v>
      </c>
      <c r="D11" s="14">
        <v>92</v>
      </c>
      <c r="E11" s="16"/>
    </row>
    <row r="12" spans="2:5" x14ac:dyDescent="0.3">
      <c r="B12" s="12" t="s">
        <v>46</v>
      </c>
      <c r="C12" s="13">
        <v>1.4</v>
      </c>
      <c r="D12" s="14"/>
      <c r="E12" s="16"/>
    </row>
    <row r="13" spans="2:5" x14ac:dyDescent="0.3">
      <c r="B13" s="12" t="s">
        <v>47</v>
      </c>
      <c r="C13" s="13">
        <v>0.91</v>
      </c>
      <c r="D13" s="14"/>
      <c r="E13" s="16"/>
    </row>
    <row r="14" spans="2:5" x14ac:dyDescent="0.3">
      <c r="B14" s="12" t="s">
        <v>48</v>
      </c>
      <c r="C14" s="13">
        <v>0.91</v>
      </c>
      <c r="D14" s="14"/>
      <c r="E14" s="16"/>
    </row>
    <row r="15" spans="2:5" x14ac:dyDescent="0.3">
      <c r="B15" s="12" t="s">
        <v>49</v>
      </c>
      <c r="C15" s="13">
        <v>1.1499999999999999</v>
      </c>
      <c r="D15" s="14"/>
      <c r="E15" s="16"/>
    </row>
    <row r="16" spans="2:5" x14ac:dyDescent="0.3">
      <c r="B16" s="12" t="s">
        <v>50</v>
      </c>
      <c r="C16" s="13">
        <v>1.45</v>
      </c>
      <c r="D16" s="14"/>
      <c r="E16" s="16"/>
    </row>
    <row r="17" spans="2:5" x14ac:dyDescent="0.3">
      <c r="B17" s="12" t="s">
        <v>51</v>
      </c>
      <c r="C17" s="13">
        <v>1.1399999999999999</v>
      </c>
      <c r="D17" s="14">
        <v>180</v>
      </c>
      <c r="E17" s="16"/>
    </row>
    <row r="18" spans="2:5" x14ac:dyDescent="0.3">
      <c r="B18" s="12"/>
      <c r="C18" s="13"/>
      <c r="D18" s="14"/>
      <c r="E18" s="16"/>
    </row>
    <row r="19" spans="2:5" x14ac:dyDescent="0.3">
      <c r="B19" s="12" t="s">
        <v>27</v>
      </c>
      <c r="C19" s="15"/>
      <c r="D19" s="14">
        <f>14*20</f>
        <v>280</v>
      </c>
      <c r="E19" s="16">
        <v>40</v>
      </c>
    </row>
    <row r="20" spans="2:5" x14ac:dyDescent="0.3">
      <c r="B20" s="12" t="s">
        <v>28</v>
      </c>
      <c r="C20" s="15"/>
      <c r="D20" s="14">
        <f>11*20</f>
        <v>220</v>
      </c>
      <c r="E20" s="16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costing</vt:lpstr>
      <vt:lpstr>ink, adhesive, film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</dc:creator>
  <cp:lastModifiedBy>Ej</cp:lastModifiedBy>
  <dcterms:created xsi:type="dcterms:W3CDTF">2020-07-02T05:26:38Z</dcterms:created>
  <dcterms:modified xsi:type="dcterms:W3CDTF">2020-07-22T13:57:59Z</dcterms:modified>
</cp:coreProperties>
</file>